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15135" windowHeight="6240" activeTab="0"/>
  </bookViews>
  <sheets>
    <sheet name="Բյուջե-ամփոփ" sheetId="1" r:id="rId1"/>
    <sheet name="Sheet1" sheetId="2" r:id="rId2"/>
  </sheets>
  <definedNames>
    <definedName name="_xlnm.Print_Area" localSheetId="0">'Բյուջե-ամփոփ'!$A$1:$Q$45</definedName>
  </definedNames>
  <calcPr fullCalcOnLoad="1"/>
</workbook>
</file>

<file path=xl/sharedStrings.xml><?xml version="1.0" encoding="utf-8"?>
<sst xmlns="http://schemas.openxmlformats.org/spreadsheetml/2006/main" count="102" uniqueCount="88">
  <si>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</si>
  <si>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</si>
  <si>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</si>
  <si>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</si>
  <si>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</si>
  <si>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</si>
  <si>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</si>
  <si>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</si>
  <si>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</si>
  <si>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</si>
  <si>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</si>
  <si>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</si>
  <si>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</si>
  <si>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</si>
  <si>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</si>
  <si>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</si>
  <si>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</si>
  <si>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</si>
  <si>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</si>
  <si>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</si>
  <si>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</si>
  <si>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</si>
  <si>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</si>
  <si>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</si>
  <si>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</si>
  <si>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</si>
  <si>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</si>
  <si>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</si>
  <si>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</si>
  <si>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17</t>
  </si>
  <si>
    <t>18</t>
  </si>
  <si>
    <t>հազ. դրամ</t>
  </si>
  <si>
    <t>2017 թվականի պետական բյուջեով նախատեսված Հայաստանի Հանրապետությանը տրամադրված դրամաշնորհների վերաբերյալ 31.03.2017թ. դրությամբ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</si>
  <si>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ծրագիր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</si>
  <si>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</si>
  <si>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 xml:space="preserve"> ՌԴ աջակցությամբ իրականացվող Հայկական ԱԷԿ-ի N 2 էներգաբլոկի շահագործման նախագծային ժամկետի երկարացման դրամաշնորհային ծրագիր</t>
  </si>
  <si>
    <t>Եվրոպական ներդրումային բանկի աջակցությամբ իրականացվող Հյուսիս-հարավ տրանսպորտային միջանցքի զարգացման դրամաշնորհային ծրագիր (Տրանշ 3)</t>
  </si>
  <si>
    <t>Եվրոպական միության աջակցությամբ իրականացվող Հայաստանի տարածքային զարգացման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</si>
  <si>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</si>
  <si>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</si>
  <si>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</si>
  <si>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</si>
  <si>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</si>
  <si>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</si>
  <si>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</si>
  <si>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</si>
  <si>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</si>
  <si>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</si>
  <si>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</si>
  <si>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</si>
  <si>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</si>
  <si>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Վերակառուցման և զարգացման եվրոպական բանկի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</si>
  <si>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>30</t>
  </si>
  <si>
    <t>31</t>
  </si>
  <si>
    <t>32</t>
  </si>
  <si>
    <t>33</t>
  </si>
  <si>
    <t>Ընդամենը արտաբյուջետային տրանսֆերտներ, այդ թվում`</t>
  </si>
  <si>
    <t xml:space="preserve">Եվրոպական  համագործակցության քաղաքականության դրամաշնորհ </t>
  </si>
  <si>
    <t>ԱՄՆ կառավարության աջակցությամբ իրականացվող «Հազարամյակի մարտահրավեր» դրամաշնորհային ծրագիր</t>
  </si>
  <si>
    <t>Համաշխարհային բանկի աջակցությամբ իրականացվող Հայաստանի կենսապայմանների ամբողջացված հետազոտության ընդլայնման դրամաշնորհային  ծրագիր</t>
  </si>
  <si>
    <t>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ծրագիր</t>
  </si>
  <si>
    <t xml:space="preserve"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ծրագիր 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</si>
  <si>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</si>
  <si>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 xml:space="preserve"> Համաշխարհային Բանկի աջակցությամբ իրականացվող Մաստարայի ջրամբարի նախապատրաստման դրամաշնորհային ծրագիր   </t>
  </si>
  <si>
    <t>Համաշխարհային բանկի աջակցությամբ իրականացվող Երկրաջերմային հետախուզական հորատման դրամաշնորհային ծրագիր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</si>
  <si>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</si>
  <si>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</si>
  <si>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</si>
  <si>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 xml:space="preserve"> Համաշխարհային բանկի աջակցությամբ իրականացվող Սոցիալական ներդրումների և տեղական զարգացման դրամաշնորհային ծրագիր </t>
  </si>
  <si>
    <t>Վերակառուցման և զարգացման եվրոպական բանկի աջակցությամբ իրականացվող «Կոտայքի մարզի կոշտ թափոնների կառավարման» դրամաշնորհային ծրագիր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</si>
  <si>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</si>
  <si>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դրամաշնորհային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</si>
  <si>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</t>
  </si>
  <si>
    <t>Վերակառուցման և զարգացման եվրոպական բանկի աջակցությամբ իրականացվող Երևանի ջրամատակարարման բարելավման դրամաշնորհային  ծրագիր</t>
  </si>
  <si>
    <t>Գերմանիայի զարգացման վարկերի բանկի և Եվրոպական միության Հարևանության ներդրումային գործիքի աջակցությամբ իրականացվող ջրամատակարարման և ջրահեռացման ենթակառուցվածքների վերականգնման դրամաշնորհային  ծրագրի երրորդ փուլ</t>
  </si>
  <si>
    <t>Արևելյան Եվրոպայի էներգախնայողության և բնապահպանական գործընկերության ֆոնդի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</si>
  <si>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</si>
  <si>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Գլոբալ հիմնադրամի աջակցությամբ իրականացվող «Հայաստանի Հանրապետությունում տուբերկուլյոզի դեմ պայքարի ուժեղացում» դրամաշնորհային ծրագիր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</si>
  <si>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ծրագիր</t>
  </si>
  <si>
    <t xml:space="preserve">2018թ  </t>
  </si>
  <si>
    <t xml:space="preserve">* ՌԴ-ի կառավարության աջակցությամբ իրականացվող ԵՏՄ-ի անդամակցության շրջանակներում ՀՀ-ին տեխնիկական և ֆինանսական  աջակցություն ցուցաբերելու դրամաշնորհային ծրագիր </t>
  </si>
  <si>
    <t>* ՀՀ կառավարության  15.02.18 թիվ 127-Ն որոշում</t>
  </si>
  <si>
    <t>** 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</si>
  <si>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 xml:space="preserve">**  «Վերակառուցման և զարգացման եվրոպական բանկի  աջակցությամբ իրականացվող Գյումրու քաղաքային ճանապարհներ» դրամաշնորհային ծրագիր (Տրանշ Ա) </t>
  </si>
  <si>
    <t>** ՀՀ կառավարության  06.03.18 թիվ 237-Ն որոշում</t>
  </si>
  <si>
    <t>Հայաստանի ժողովրդագրության և առողջության հարցերի հետազոտություն</t>
  </si>
  <si>
    <t xml:space="preserve">Եվրոպական միության հարևանության ներդրումային գործիքի աջակցությամբ իրականացվող «Երևանի կոշտ թափոնների կառավարման» դրամաշնորհային ծրագիր </t>
  </si>
  <si>
    <t>2018 թվականի պետական բյուջեով նախատեսված Հայաստանի Հանրապետությանը տրամադրված դրամաշնորհների վերաբերյալ 31.03.2018թ. դրությամբ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</si>
</sst>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  <numFmt numFmtId="191" formatCode="[$-409]h:mm:ss\ AM/PM"/>
    <numFmt numFmtId="192" formatCode="_(* #,##0.000_);_(* \(#,##0.000\);_(* &quot;-&quot;?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9" fontId="2" fillId="33" borderId="0" xfId="42" applyNumberFormat="1" applyFont="1" applyFill="1" applyBorder="1" applyAlignment="1">
      <alignment/>
    </xf>
    <xf numFmtId="43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3" borderId="10" xfId="57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vertical="center"/>
      <protection/>
    </xf>
    <xf numFmtId="43" fontId="2" fillId="33" borderId="0" xfId="42" applyFont="1" applyFill="1" applyBorder="1" applyAlignment="1">
      <alignment/>
    </xf>
    <xf numFmtId="174" fontId="2" fillId="33" borderId="0" xfId="0" applyNumberFormat="1" applyFont="1" applyFill="1" applyBorder="1" applyAlignment="1">
      <alignment vertical="center" wrapText="1"/>
    </xf>
    <xf numFmtId="183" fontId="3" fillId="33" borderId="10" xfId="57" applyNumberFormat="1" applyFont="1" applyFill="1" applyBorder="1" applyAlignment="1">
      <alignment vertical="center"/>
      <protection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57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vertical="center"/>
      <protection/>
    </xf>
    <xf numFmtId="183" fontId="3" fillId="33" borderId="10" xfId="57" applyNumberFormat="1" applyFont="1" applyFill="1" applyBorder="1" applyAlignment="1">
      <alignment horizontal="center" vertical="center"/>
      <protection/>
    </xf>
    <xf numFmtId="183" fontId="3" fillId="33" borderId="11" xfId="57" applyNumberFormat="1" applyFont="1" applyFill="1" applyBorder="1" applyAlignment="1">
      <alignment horizontal="center" vertical="center"/>
      <protection/>
    </xf>
    <xf numFmtId="49" fontId="7" fillId="33" borderId="12" xfId="1" applyNumberFormat="1" applyFont="1" applyFill="1" applyBorder="1" applyAlignment="1">
      <alignment horizontal="left" vertical="center" wrapText="1"/>
    </xf>
    <xf numFmtId="172" fontId="2" fillId="33" borderId="10" xfId="1" applyNumberFormat="1" applyFont="1" applyFill="1" applyBorder="1" applyAlignment="1">
      <alignment horizontal="left" vertical="center" wrapText="1"/>
    </xf>
    <xf numFmtId="174" fontId="7" fillId="33" borderId="10" xfId="57" applyNumberFormat="1" applyFont="1" applyFill="1" applyBorder="1" applyAlignment="1">
      <alignment horizontal="center" vertical="center"/>
      <protection/>
    </xf>
    <xf numFmtId="174" fontId="7" fillId="33" borderId="10" xfId="57" applyNumberFormat="1" applyFont="1" applyFill="1" applyBorder="1" applyAlignment="1">
      <alignment horizontal="right" vertical="center"/>
      <protection/>
    </xf>
    <xf numFmtId="174" fontId="7" fillId="33" borderId="11" xfId="57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/>
    </xf>
    <xf numFmtId="183" fontId="2" fillId="33" borderId="10" xfId="57" applyNumberFormat="1" applyFont="1" applyFill="1" applyBorder="1" applyAlignment="1">
      <alignment vertical="center"/>
      <protection/>
    </xf>
    <xf numFmtId="183" fontId="2" fillId="33" borderId="10" xfId="42" applyNumberFormat="1" applyFont="1" applyFill="1" applyBorder="1" applyAlignment="1">
      <alignment vertical="center"/>
    </xf>
    <xf numFmtId="183" fontId="2" fillId="33" borderId="10" xfId="42" applyNumberFormat="1" applyFont="1" applyFill="1" applyBorder="1" applyAlignment="1">
      <alignment horizontal="center" vertical="center"/>
    </xf>
    <xf numFmtId="183" fontId="2" fillId="33" borderId="11" xfId="42" applyNumberFormat="1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left" vertical="center" wrapText="1"/>
      <protection/>
    </xf>
    <xf numFmtId="174" fontId="4" fillId="33" borderId="0" xfId="0" applyNumberFormat="1" applyFont="1" applyFill="1" applyBorder="1" applyAlignment="1">
      <alignment/>
    </xf>
    <xf numFmtId="0" fontId="6" fillId="33" borderId="0" xfId="56" applyFont="1" applyFill="1" applyBorder="1" applyAlignment="1">
      <alignment vertical="center"/>
      <protection/>
    </xf>
    <xf numFmtId="49" fontId="2" fillId="33" borderId="13" xfId="1" applyNumberFormat="1" applyFont="1" applyFill="1" applyBorder="1" applyAlignment="1">
      <alignment horizontal="center" vertical="center" wrapText="1"/>
    </xf>
    <xf numFmtId="183" fontId="2" fillId="33" borderId="14" xfId="57" applyNumberFormat="1" applyFont="1" applyFill="1" applyBorder="1" applyAlignment="1">
      <alignment vertical="center"/>
      <protection/>
    </xf>
    <xf numFmtId="183" fontId="2" fillId="33" borderId="14" xfId="42" applyNumberFormat="1" applyFont="1" applyFill="1" applyBorder="1" applyAlignment="1">
      <alignment vertical="center"/>
    </xf>
    <xf numFmtId="183" fontId="2" fillId="33" borderId="14" xfId="42" applyNumberFormat="1" applyFont="1" applyFill="1" applyBorder="1" applyAlignment="1">
      <alignment horizontal="center" vertical="center"/>
    </xf>
    <xf numFmtId="183" fontId="2" fillId="33" borderId="15" xfId="42" applyNumberFormat="1" applyFont="1" applyFill="1" applyBorder="1" applyAlignment="1">
      <alignment horizontal="center" vertical="center"/>
    </xf>
    <xf numFmtId="183" fontId="3" fillId="33" borderId="16" xfId="57" applyNumberFormat="1" applyFont="1" applyFill="1" applyBorder="1" applyAlignment="1">
      <alignment vertical="center"/>
      <protection/>
    </xf>
    <xf numFmtId="183" fontId="3" fillId="33" borderId="17" xfId="57" applyNumberFormat="1" applyFont="1" applyFill="1" applyBorder="1" applyAlignment="1">
      <alignment vertical="center"/>
      <protection/>
    </xf>
    <xf numFmtId="183" fontId="3" fillId="33" borderId="0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72" fontId="2" fillId="33" borderId="0" xfId="1" applyNumberFormat="1" applyFont="1" applyFill="1" applyBorder="1" applyAlignment="1">
      <alignment horizontal="left" vertical="center" wrapText="1"/>
    </xf>
    <xf numFmtId="183" fontId="2" fillId="33" borderId="0" xfId="57" applyNumberFormat="1" applyFont="1" applyFill="1" applyBorder="1" applyAlignment="1">
      <alignment vertical="center"/>
      <protection/>
    </xf>
    <xf numFmtId="49" fontId="2" fillId="33" borderId="0" xfId="1" applyNumberFormat="1" applyFont="1" applyFill="1" applyBorder="1" applyAlignment="1">
      <alignment horizontal="center" vertical="center" wrapText="1"/>
    </xf>
    <xf numFmtId="183" fontId="2" fillId="33" borderId="0" xfId="42" applyNumberFormat="1" applyFont="1" applyFill="1" applyBorder="1" applyAlignment="1">
      <alignment vertical="center"/>
    </xf>
    <xf numFmtId="183" fontId="2" fillId="33" borderId="0" xfId="42" applyNumberFormat="1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wrapText="1"/>
      <protection/>
    </xf>
    <xf numFmtId="183" fontId="3" fillId="33" borderId="11" xfId="57" applyNumberFormat="1" applyFont="1" applyFill="1" applyBorder="1" applyAlignment="1">
      <alignment vertical="center"/>
      <protection/>
    </xf>
    <xf numFmtId="172" fontId="2" fillId="33" borderId="14" xfId="1" applyNumberFormat="1" applyFont="1" applyFill="1" applyBorder="1" applyAlignment="1">
      <alignment horizontal="left" vertical="center" wrapText="1"/>
    </xf>
    <xf numFmtId="183" fontId="2" fillId="33" borderId="16" xfId="42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9" fontId="2" fillId="33" borderId="12" xfId="1" applyNumberFormat="1" applyFont="1" applyFill="1" applyBorder="1" applyAlignment="1">
      <alignment horizontal="center" vertical="center" wrapText="1"/>
    </xf>
    <xf numFmtId="183" fontId="2" fillId="33" borderId="11" xfId="0" applyNumberFormat="1" applyFont="1" applyFill="1" applyBorder="1" applyAlignment="1">
      <alignment/>
    </xf>
    <xf numFmtId="183" fontId="2" fillId="33" borderId="11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20" xfId="42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2" fontId="3" fillId="33" borderId="21" xfId="42" applyNumberFormat="1" applyFont="1" applyFill="1" applyBorder="1" applyAlignment="1">
      <alignment horizontal="center" vertical="center"/>
    </xf>
  </cellXfs>
  <cellStyles count="51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rants quartal" xfId="55"/>
    <cellStyle name="Normal_Transfert" xfId="56"/>
    <cellStyle name="Normal_transfert-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70" zoomScaleNormal="70" zoomScalePageLayoutView="0" workbookViewId="0" topLeftCell="A4">
      <pane ySplit="8" topLeftCell="A12" activePane="bottomLeft" state="frozen"/>
      <selection pane="topLeft" activeCell="B4" sqref="B4"/>
      <selection pane="bottomLeft" activeCell="D29" sqref="D29"/>
    </sheetView>
  </sheetViews>
  <sheetFormatPr defaultColWidth="9.140625" defaultRowHeight="12.75"/>
  <cols>
    <col min="1" max="1" width="5.8515625" style="1" customWidth="1"/>
    <col min="2" max="2" width="133.7109375" style="10" customWidth="1"/>
    <col min="3" max="3" width="23.8515625" style="10" customWidth="1"/>
    <col min="4" max="4" width="24.421875" style="10" bestFit="1" customWidth="1"/>
    <col min="5" max="5" width="23.8515625" style="10" customWidth="1"/>
    <col min="6" max="6" width="22.00390625" style="1" customWidth="1"/>
    <col min="7" max="7" width="22.57421875" style="1" customWidth="1"/>
    <col min="8" max="8" width="21.140625" style="1" bestFit="1" customWidth="1"/>
    <col min="9" max="9" width="22.00390625" style="1" customWidth="1"/>
    <col min="10" max="10" width="27.8515625" style="1" customWidth="1"/>
    <col min="11" max="11" width="21.7109375" style="1" customWidth="1"/>
    <col min="12" max="12" width="23.7109375" style="1" customWidth="1"/>
    <col min="13" max="13" width="21.8515625" style="1" customWidth="1"/>
    <col min="14" max="14" width="23.7109375" style="1" customWidth="1"/>
    <col min="15" max="15" width="22.421875" style="1" bestFit="1" customWidth="1"/>
    <col min="16" max="16" width="22.28125" style="1" bestFit="1" customWidth="1"/>
    <col min="17" max="17" width="21.8515625" style="1" customWidth="1"/>
    <col min="18" max="18" width="20.00390625" style="1" hidden="1" customWidth="1"/>
    <col min="19" max="19" width="19.57421875" style="1" customWidth="1"/>
    <col min="20" max="16384" width="9.140625" style="1" customWidth="1"/>
  </cols>
  <sheetData>
    <row r="1" spans="1:17" ht="20.25">
      <c r="A1" s="3" t="s">
        <v>0</v>
      </c>
      <c r="B1" s="64" t="s">
        <v>14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59"/>
      <c r="Q1" s="14"/>
    </row>
    <row r="2" spans="1:17" ht="20.25">
      <c r="A2" s="3"/>
      <c r="B2" s="64" t="s">
        <v>32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59"/>
      <c r="Q2" s="14"/>
    </row>
    <row r="3" spans="1:17" ht="20.25">
      <c r="A3" s="3"/>
      <c r="B3" s="59"/>
      <c r="C3" s="59"/>
      <c r="D3" s="4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4"/>
    </row>
    <row r="4" spans="1:17" ht="20.25">
      <c r="A4" s="3"/>
      <c r="B4" s="64" t="s">
        <v>87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59"/>
      <c r="Q4" s="14"/>
    </row>
    <row r="5" spans="1:17" ht="20.25">
      <c r="A5" s="3"/>
      <c r="B5" s="59"/>
      <c r="C5" s="59"/>
      <c r="D5" s="4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4"/>
    </row>
    <row r="6" spans="1:17" ht="20.25">
      <c r="A6" s="3"/>
      <c r="B6" s="59"/>
      <c r="C6" s="59"/>
      <c r="D6" s="4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4"/>
    </row>
    <row r="7" spans="1:17" ht="21" thickBot="1">
      <c r="A7" s="3"/>
      <c r="B7" s="3"/>
      <c r="C7" s="40"/>
      <c r="D7" s="17"/>
      <c r="E7" s="5"/>
      <c r="F7" s="6"/>
      <c r="G7" s="6" t="s">
        <v>0</v>
      </c>
      <c r="H7" s="3"/>
      <c r="I7" s="11"/>
      <c r="J7" s="6"/>
      <c r="K7" s="7"/>
      <c r="L7" s="7"/>
      <c r="M7" s="3"/>
      <c r="N7" s="3"/>
      <c r="O7" s="12"/>
      <c r="P7" s="8"/>
      <c r="Q7" s="15" t="s">
        <v>31</v>
      </c>
    </row>
    <row r="8" spans="1:17" ht="20.25">
      <c r="A8" s="65" t="s">
        <v>15</v>
      </c>
      <c r="B8" s="66"/>
      <c r="C8" s="69" t="s">
        <v>79</v>
      </c>
      <c r="D8" s="69"/>
      <c r="E8" s="69"/>
      <c r="F8" s="69" t="s">
        <v>16</v>
      </c>
      <c r="G8" s="69"/>
      <c r="H8" s="69"/>
      <c r="I8" s="69" t="s">
        <v>17</v>
      </c>
      <c r="J8" s="69"/>
      <c r="K8" s="69"/>
      <c r="L8" s="69" t="s">
        <v>18</v>
      </c>
      <c r="M8" s="69"/>
      <c r="N8" s="69"/>
      <c r="O8" s="69" t="s">
        <v>19</v>
      </c>
      <c r="P8" s="69"/>
      <c r="Q8" s="72"/>
    </row>
    <row r="9" spans="1:17" ht="20.25">
      <c r="A9" s="67"/>
      <c r="B9" s="68"/>
      <c r="C9" s="9" t="s">
        <v>20</v>
      </c>
      <c r="D9" s="9" t="s">
        <v>21</v>
      </c>
      <c r="E9" s="9" t="s">
        <v>22</v>
      </c>
      <c r="F9" s="9" t="s">
        <v>20</v>
      </c>
      <c r="G9" s="9" t="s">
        <v>21</v>
      </c>
      <c r="H9" s="9" t="s">
        <v>22</v>
      </c>
      <c r="I9" s="9" t="s">
        <v>20</v>
      </c>
      <c r="J9" s="9" t="s">
        <v>21</v>
      </c>
      <c r="K9" s="9" t="s">
        <v>22</v>
      </c>
      <c r="L9" s="9" t="s">
        <v>20</v>
      </c>
      <c r="M9" s="9" t="s">
        <v>21</v>
      </c>
      <c r="N9" s="9" t="s">
        <v>22</v>
      </c>
      <c r="O9" s="9" t="s">
        <v>20</v>
      </c>
      <c r="P9" s="9" t="s">
        <v>21</v>
      </c>
      <c r="Q9" s="16" t="s">
        <v>22</v>
      </c>
    </row>
    <row r="10" spans="1:17" s="2" customFormat="1" ht="20.25">
      <c r="A10" s="70" t="s">
        <v>23</v>
      </c>
      <c r="B10" s="71"/>
      <c r="C10" s="13">
        <f aca="true" t="shared" si="0" ref="C10:Q10">C11+C13+C47</f>
        <v>35823846.8</v>
      </c>
      <c r="D10" s="13">
        <f t="shared" si="0"/>
        <v>38908669.8</v>
      </c>
      <c r="E10" s="13">
        <f t="shared" si="0"/>
        <v>1218763.94</v>
      </c>
      <c r="F10" s="13">
        <f t="shared" si="0"/>
        <v>5208624.6</v>
      </c>
      <c r="G10" s="13">
        <f t="shared" si="0"/>
        <v>6405465.199999999</v>
      </c>
      <c r="H10" s="13">
        <f t="shared" si="0"/>
        <v>1218763.94</v>
      </c>
      <c r="I10" s="13">
        <f t="shared" si="0"/>
        <v>10852728.400000002</v>
      </c>
      <c r="J10" s="13">
        <f t="shared" si="0"/>
        <v>11395524.000000002</v>
      </c>
      <c r="K10" s="13">
        <f t="shared" si="0"/>
        <v>0</v>
      </c>
      <c r="L10" s="13">
        <f t="shared" si="0"/>
        <v>6723510.099999999</v>
      </c>
      <c r="M10" s="13">
        <f t="shared" si="0"/>
        <v>7325305.699999998</v>
      </c>
      <c r="N10" s="13">
        <f t="shared" si="0"/>
        <v>0</v>
      </c>
      <c r="O10" s="13">
        <f t="shared" si="0"/>
        <v>13038983.7</v>
      </c>
      <c r="P10" s="13">
        <f t="shared" si="0"/>
        <v>13782374.899999999</v>
      </c>
      <c r="Q10" s="49">
        <f t="shared" si="0"/>
        <v>0</v>
      </c>
    </row>
    <row r="11" spans="1:17" s="2" customFormat="1" ht="20.25">
      <c r="A11" s="70" t="s">
        <v>24</v>
      </c>
      <c r="B11" s="71"/>
      <c r="C11" s="18">
        <f aca="true" t="shared" si="1" ref="C11:Q11">SUM(C12:C12)</f>
        <v>6463460</v>
      </c>
      <c r="D11" s="18">
        <f t="shared" si="1"/>
        <v>6463460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6463460</v>
      </c>
      <c r="P11" s="18">
        <f t="shared" si="1"/>
        <v>6463460</v>
      </c>
      <c r="Q11" s="19">
        <f t="shared" si="1"/>
        <v>0</v>
      </c>
    </row>
    <row r="12" spans="1:17" s="25" customFormat="1" ht="63.75" customHeight="1">
      <c r="A12" s="20" t="s">
        <v>25</v>
      </c>
      <c r="B12" s="21" t="s">
        <v>57</v>
      </c>
      <c r="C12" s="26">
        <v>6463460</v>
      </c>
      <c r="D12" s="26">
        <v>6463460</v>
      </c>
      <c r="E12" s="22">
        <v>0</v>
      </c>
      <c r="F12" s="22">
        <v>0</v>
      </c>
      <c r="G12" s="22">
        <v>0</v>
      </c>
      <c r="H12" s="23"/>
      <c r="I12" s="23"/>
      <c r="J12" s="23">
        <v>0</v>
      </c>
      <c r="K12" s="23"/>
      <c r="L12" s="23">
        <v>0</v>
      </c>
      <c r="M12" s="23">
        <v>0</v>
      </c>
      <c r="N12" s="23"/>
      <c r="O12" s="26">
        <v>6463460</v>
      </c>
      <c r="P12" s="26">
        <v>6463460</v>
      </c>
      <c r="Q12" s="24"/>
    </row>
    <row r="13" spans="1:17" ht="39.75" customHeight="1">
      <c r="A13" s="70" t="s">
        <v>27</v>
      </c>
      <c r="B13" s="71"/>
      <c r="C13" s="13">
        <f aca="true" t="shared" si="2" ref="C13:Q13">SUM(C14:C46)</f>
        <v>29360386.799999997</v>
      </c>
      <c r="D13" s="13">
        <f t="shared" si="2"/>
        <v>32445209.799999997</v>
      </c>
      <c r="E13" s="13">
        <f t="shared" si="2"/>
        <v>1218763.94</v>
      </c>
      <c r="F13" s="13">
        <f t="shared" si="2"/>
        <v>5208624.6</v>
      </c>
      <c r="G13" s="13">
        <f t="shared" si="2"/>
        <v>6405465.199999999</v>
      </c>
      <c r="H13" s="13">
        <f t="shared" si="2"/>
        <v>1218763.94</v>
      </c>
      <c r="I13" s="13">
        <f t="shared" si="2"/>
        <v>10852728.400000002</v>
      </c>
      <c r="J13" s="13">
        <f t="shared" si="2"/>
        <v>11395524.000000002</v>
      </c>
      <c r="K13" s="13">
        <f t="shared" si="2"/>
        <v>0</v>
      </c>
      <c r="L13" s="13">
        <f t="shared" si="2"/>
        <v>6723510.099999999</v>
      </c>
      <c r="M13" s="13">
        <f t="shared" si="2"/>
        <v>7325305.699999998</v>
      </c>
      <c r="N13" s="13">
        <f t="shared" si="2"/>
        <v>0</v>
      </c>
      <c r="O13" s="13">
        <f t="shared" si="2"/>
        <v>6575523.699999998</v>
      </c>
      <c r="P13" s="13">
        <f t="shared" si="2"/>
        <v>7318914.8999999985</v>
      </c>
      <c r="Q13" s="49">
        <f t="shared" si="2"/>
        <v>0</v>
      </c>
    </row>
    <row r="14" spans="1:17" ht="55.5" customHeight="1">
      <c r="A14" s="60" t="s">
        <v>25</v>
      </c>
      <c r="B14" s="21" t="s">
        <v>58</v>
      </c>
      <c r="C14" s="26">
        <f aca="true" t="shared" si="3" ref="C14:E41">F14+I14+L14+O14</f>
        <v>110846.1</v>
      </c>
      <c r="D14" s="26">
        <f>G14+J14+M14+P14</f>
        <v>110846.1</v>
      </c>
      <c r="E14" s="26">
        <f t="shared" si="3"/>
        <v>0</v>
      </c>
      <c r="F14" s="27">
        <v>27711.5</v>
      </c>
      <c r="G14" s="28">
        <f>F14+0</f>
        <v>27711.5</v>
      </c>
      <c r="H14" s="26">
        <v>0</v>
      </c>
      <c r="I14" s="27">
        <f>55423-27711.5</f>
        <v>27711.5</v>
      </c>
      <c r="J14" s="28">
        <f>I14+0</f>
        <v>27711.5</v>
      </c>
      <c r="K14" s="26"/>
      <c r="L14" s="27">
        <f>83134.5-55423</f>
        <v>27711.5</v>
      </c>
      <c r="M14" s="28">
        <f>L14+0</f>
        <v>27711.5</v>
      </c>
      <c r="N14" s="28"/>
      <c r="O14" s="27">
        <f>110846.1-83134.5</f>
        <v>27711.600000000006</v>
      </c>
      <c r="P14" s="28">
        <f>O14+0</f>
        <v>27711.600000000006</v>
      </c>
      <c r="Q14" s="29"/>
    </row>
    <row r="15" spans="1:17" ht="62.25" customHeight="1">
      <c r="A15" s="60" t="s">
        <v>26</v>
      </c>
      <c r="B15" s="21" t="s">
        <v>33</v>
      </c>
      <c r="C15" s="26">
        <f t="shared" si="3"/>
        <v>475690.4</v>
      </c>
      <c r="D15" s="26">
        <f>G15+J15+M15+P15</f>
        <v>475690.4</v>
      </c>
      <c r="E15" s="26">
        <f t="shared" si="3"/>
        <v>0</v>
      </c>
      <c r="F15" s="27">
        <v>71779.5</v>
      </c>
      <c r="G15" s="28">
        <f aca="true" t="shared" si="4" ref="G15:G43">F15+0</f>
        <v>71779.5</v>
      </c>
      <c r="H15" s="26">
        <v>0</v>
      </c>
      <c r="I15" s="27">
        <f>157491-71779.5</f>
        <v>85711.5</v>
      </c>
      <c r="J15" s="28">
        <f aca="true" t="shared" si="5" ref="J15:J44">I15+0</f>
        <v>85711.5</v>
      </c>
      <c r="K15" s="26"/>
      <c r="L15" s="27">
        <f>311060.5-157491</f>
        <v>153569.5</v>
      </c>
      <c r="M15" s="28">
        <f aca="true" t="shared" si="6" ref="M15:M22">L15+0</f>
        <v>153569.5</v>
      </c>
      <c r="N15" s="28"/>
      <c r="O15" s="27">
        <f>475690.4-311060.5</f>
        <v>164629.90000000002</v>
      </c>
      <c r="P15" s="28">
        <f aca="true" t="shared" si="7" ref="P15:P44">O15+0</f>
        <v>164629.90000000002</v>
      </c>
      <c r="Q15" s="29"/>
    </row>
    <row r="16" spans="1:18" ht="63.75" customHeight="1">
      <c r="A16" s="60" t="s">
        <v>1</v>
      </c>
      <c r="B16" s="30" t="s">
        <v>59</v>
      </c>
      <c r="C16" s="26">
        <f aca="true" t="shared" si="8" ref="C16:E17">F16+I16+L16+O16</f>
        <v>12108.8</v>
      </c>
      <c r="D16" s="26">
        <f t="shared" si="8"/>
        <v>12108.8</v>
      </c>
      <c r="E16" s="26">
        <f t="shared" si="8"/>
        <v>0</v>
      </c>
      <c r="F16" s="27">
        <v>12108.8</v>
      </c>
      <c r="G16" s="28">
        <f t="shared" si="4"/>
        <v>12108.8</v>
      </c>
      <c r="H16" s="28">
        <v>0</v>
      </c>
      <c r="I16" s="27"/>
      <c r="J16" s="28">
        <f t="shared" si="5"/>
        <v>0</v>
      </c>
      <c r="K16" s="26"/>
      <c r="L16" s="27"/>
      <c r="M16" s="28">
        <f t="shared" si="6"/>
        <v>0</v>
      </c>
      <c r="N16" s="28"/>
      <c r="O16" s="27"/>
      <c r="P16" s="28">
        <f t="shared" si="7"/>
        <v>0</v>
      </c>
      <c r="Q16" s="29"/>
      <c r="R16" s="31"/>
    </row>
    <row r="17" spans="1:18" ht="59.25" customHeight="1">
      <c r="A17" s="60" t="s">
        <v>28</v>
      </c>
      <c r="B17" s="30" t="s">
        <v>60</v>
      </c>
      <c r="C17" s="26">
        <f t="shared" si="8"/>
        <v>432640.3</v>
      </c>
      <c r="D17" s="26">
        <f t="shared" si="8"/>
        <v>432640.3</v>
      </c>
      <c r="E17" s="26">
        <f t="shared" si="8"/>
        <v>0</v>
      </c>
      <c r="F17" s="27">
        <v>108160.1</v>
      </c>
      <c r="G17" s="28">
        <f t="shared" si="4"/>
        <v>108160.1</v>
      </c>
      <c r="H17" s="28">
        <v>0</v>
      </c>
      <c r="I17" s="27">
        <f>216320.2-108160.1</f>
        <v>108160.1</v>
      </c>
      <c r="J17" s="28">
        <f t="shared" si="5"/>
        <v>108160.1</v>
      </c>
      <c r="K17" s="26"/>
      <c r="L17" s="27">
        <f>324480.3-216320.2</f>
        <v>108160.09999999998</v>
      </c>
      <c r="M17" s="28">
        <f t="shared" si="6"/>
        <v>108160.09999999998</v>
      </c>
      <c r="N17" s="28"/>
      <c r="O17" s="27">
        <f>432640.3-324480.3</f>
        <v>108160</v>
      </c>
      <c r="P17" s="28">
        <f t="shared" si="7"/>
        <v>108160</v>
      </c>
      <c r="Q17" s="29"/>
      <c r="R17" s="31"/>
    </row>
    <row r="18" spans="1:17" ht="65.25" customHeight="1">
      <c r="A18" s="60" t="s">
        <v>2</v>
      </c>
      <c r="B18" s="30" t="s">
        <v>34</v>
      </c>
      <c r="C18" s="26">
        <f t="shared" si="3"/>
        <v>717915</v>
      </c>
      <c r="D18" s="26">
        <f t="shared" si="3"/>
        <v>717915</v>
      </c>
      <c r="E18" s="26">
        <f t="shared" si="3"/>
        <v>0</v>
      </c>
      <c r="F18" s="27">
        <v>179478.7</v>
      </c>
      <c r="G18" s="28">
        <f t="shared" si="4"/>
        <v>179478.7</v>
      </c>
      <c r="H18" s="26">
        <v>0</v>
      </c>
      <c r="I18" s="27">
        <f>358957.5-179478.7</f>
        <v>179478.8</v>
      </c>
      <c r="J18" s="28">
        <f t="shared" si="5"/>
        <v>179478.8</v>
      </c>
      <c r="K18" s="26"/>
      <c r="L18" s="27">
        <f>538436.3-358957.5</f>
        <v>179478.80000000005</v>
      </c>
      <c r="M18" s="28">
        <f t="shared" si="6"/>
        <v>179478.80000000005</v>
      </c>
      <c r="N18" s="28"/>
      <c r="O18" s="27">
        <f>717915-538436.3</f>
        <v>179478.69999999995</v>
      </c>
      <c r="P18" s="28">
        <f t="shared" si="7"/>
        <v>179478.69999999995</v>
      </c>
      <c r="Q18" s="29"/>
    </row>
    <row r="19" spans="1:17" ht="57.75" customHeight="1">
      <c r="A19" s="60" t="s">
        <v>3</v>
      </c>
      <c r="B19" s="30" t="s">
        <v>61</v>
      </c>
      <c r="C19" s="26">
        <f t="shared" si="3"/>
        <v>47861</v>
      </c>
      <c r="D19" s="26">
        <f t="shared" si="3"/>
        <v>47861</v>
      </c>
      <c r="E19" s="26">
        <f t="shared" si="3"/>
        <v>0</v>
      </c>
      <c r="F19" s="27">
        <v>11965.2</v>
      </c>
      <c r="G19" s="28">
        <f t="shared" si="4"/>
        <v>11965.2</v>
      </c>
      <c r="H19" s="26">
        <v>0</v>
      </c>
      <c r="I19" s="27">
        <f>23930.5-11965.2</f>
        <v>11965.3</v>
      </c>
      <c r="J19" s="28">
        <f t="shared" si="5"/>
        <v>11965.3</v>
      </c>
      <c r="K19" s="26"/>
      <c r="L19" s="27">
        <f>35895.8-23930.5</f>
        <v>11965.300000000003</v>
      </c>
      <c r="M19" s="28">
        <f t="shared" si="6"/>
        <v>11965.300000000003</v>
      </c>
      <c r="N19" s="28"/>
      <c r="O19" s="27">
        <f>47861-35895.8</f>
        <v>11965.199999999997</v>
      </c>
      <c r="P19" s="28">
        <f t="shared" si="7"/>
        <v>11965.199999999997</v>
      </c>
      <c r="Q19" s="29"/>
    </row>
    <row r="20" spans="1:17" ht="72.75" customHeight="1">
      <c r="A20" s="60" t="s">
        <v>4</v>
      </c>
      <c r="B20" s="21" t="s">
        <v>62</v>
      </c>
      <c r="C20" s="26">
        <f t="shared" si="3"/>
        <v>574332</v>
      </c>
      <c r="D20" s="26">
        <f t="shared" si="3"/>
        <v>574332</v>
      </c>
      <c r="E20" s="26">
        <f t="shared" si="3"/>
        <v>0</v>
      </c>
      <c r="F20" s="27">
        <v>143583</v>
      </c>
      <c r="G20" s="28">
        <f t="shared" si="4"/>
        <v>143583</v>
      </c>
      <c r="H20" s="26">
        <v>0</v>
      </c>
      <c r="I20" s="27">
        <f>287166-143583</f>
        <v>143583</v>
      </c>
      <c r="J20" s="28">
        <f t="shared" si="5"/>
        <v>143583</v>
      </c>
      <c r="K20" s="26"/>
      <c r="L20" s="27">
        <f>430749-287166</f>
        <v>143583</v>
      </c>
      <c r="M20" s="28">
        <f t="shared" si="6"/>
        <v>143583</v>
      </c>
      <c r="N20" s="28"/>
      <c r="O20" s="27">
        <f>574332-430749</f>
        <v>143583</v>
      </c>
      <c r="P20" s="28">
        <f t="shared" si="7"/>
        <v>143583</v>
      </c>
      <c r="Q20" s="29"/>
    </row>
    <row r="21" spans="1:17" ht="52.5" customHeight="1">
      <c r="A21" s="60" t="s">
        <v>5</v>
      </c>
      <c r="B21" s="21" t="s">
        <v>63</v>
      </c>
      <c r="C21" s="26">
        <f t="shared" si="3"/>
        <v>108453</v>
      </c>
      <c r="D21" s="26">
        <f t="shared" si="3"/>
        <v>108453</v>
      </c>
      <c r="E21" s="26">
        <f t="shared" si="3"/>
        <v>0</v>
      </c>
      <c r="F21" s="27">
        <v>42418.9</v>
      </c>
      <c r="G21" s="28">
        <f t="shared" si="4"/>
        <v>42418.9</v>
      </c>
      <c r="H21" s="26">
        <v>0</v>
      </c>
      <c r="I21" s="27">
        <f>108453-42418.9</f>
        <v>66034.1</v>
      </c>
      <c r="J21" s="28">
        <f t="shared" si="5"/>
        <v>66034.1</v>
      </c>
      <c r="K21" s="26"/>
      <c r="L21" s="27"/>
      <c r="M21" s="28">
        <f t="shared" si="6"/>
        <v>0</v>
      </c>
      <c r="N21" s="28"/>
      <c r="O21" s="27"/>
      <c r="P21" s="28">
        <f t="shared" si="7"/>
        <v>0</v>
      </c>
      <c r="Q21" s="29"/>
    </row>
    <row r="22" spans="1:17" ht="52.5" customHeight="1">
      <c r="A22" s="60" t="s">
        <v>6</v>
      </c>
      <c r="B22" s="21" t="s">
        <v>35</v>
      </c>
      <c r="C22" s="26">
        <f t="shared" si="3"/>
        <v>6356997.6</v>
      </c>
      <c r="D22" s="26">
        <f t="shared" si="3"/>
        <v>6356997.6</v>
      </c>
      <c r="E22" s="26">
        <f t="shared" si="3"/>
        <v>365579.01</v>
      </c>
      <c r="F22" s="27">
        <v>428779.9</v>
      </c>
      <c r="G22" s="28">
        <f t="shared" si="4"/>
        <v>428779.9</v>
      </c>
      <c r="H22" s="26">
        <v>365579.01</v>
      </c>
      <c r="I22" s="27">
        <f>3378902.3-428779.9</f>
        <v>2950122.4</v>
      </c>
      <c r="J22" s="28">
        <f t="shared" si="5"/>
        <v>2950122.4</v>
      </c>
      <c r="K22" s="26"/>
      <c r="L22" s="27">
        <f>5014722.8-3378902.3</f>
        <v>1635820.5</v>
      </c>
      <c r="M22" s="28">
        <f t="shared" si="6"/>
        <v>1635820.5</v>
      </c>
      <c r="N22" s="28"/>
      <c r="O22" s="27">
        <f>6356997.6-5014722.8</f>
        <v>1342274.7999999998</v>
      </c>
      <c r="P22" s="28">
        <f t="shared" si="7"/>
        <v>1342274.7999999998</v>
      </c>
      <c r="Q22" s="29"/>
    </row>
    <row r="23" spans="1:17" ht="66" customHeight="1">
      <c r="A23" s="60" t="s">
        <v>7</v>
      </c>
      <c r="B23" s="21" t="s">
        <v>64</v>
      </c>
      <c r="C23" s="26">
        <f t="shared" si="3"/>
        <v>80980.8</v>
      </c>
      <c r="D23" s="26">
        <f t="shared" si="3"/>
        <v>80980.8</v>
      </c>
      <c r="E23" s="26">
        <f t="shared" si="3"/>
        <v>3790.1</v>
      </c>
      <c r="F23" s="27">
        <v>20245.2</v>
      </c>
      <c r="G23" s="28">
        <f t="shared" si="4"/>
        <v>20245.2</v>
      </c>
      <c r="H23" s="26">
        <v>3790.1</v>
      </c>
      <c r="I23" s="27">
        <f>40490.4-20245.2</f>
        <v>20245.2</v>
      </c>
      <c r="J23" s="28">
        <f t="shared" si="5"/>
        <v>20245.2</v>
      </c>
      <c r="K23" s="26"/>
      <c r="L23" s="27">
        <f>60735.6-40490.4</f>
        <v>20245.199999999997</v>
      </c>
      <c r="M23" s="28">
        <f>L23+0</f>
        <v>20245.199999999997</v>
      </c>
      <c r="N23" s="28"/>
      <c r="O23" s="27">
        <f>80980.8-60735.6</f>
        <v>20245.200000000004</v>
      </c>
      <c r="P23" s="28">
        <f t="shared" si="7"/>
        <v>20245.200000000004</v>
      </c>
      <c r="Q23" s="29"/>
    </row>
    <row r="24" spans="1:17" ht="59.25" customHeight="1">
      <c r="A24" s="60" t="s">
        <v>8</v>
      </c>
      <c r="B24" s="21" t="s">
        <v>65</v>
      </c>
      <c r="C24" s="26">
        <f t="shared" si="3"/>
        <v>158994.2</v>
      </c>
      <c r="D24" s="26">
        <f t="shared" si="3"/>
        <v>158994.2</v>
      </c>
      <c r="E24" s="26">
        <f t="shared" si="3"/>
        <v>71899.82</v>
      </c>
      <c r="F24" s="27">
        <v>79497.1</v>
      </c>
      <c r="G24" s="28">
        <f t="shared" si="4"/>
        <v>79497.1</v>
      </c>
      <c r="H24" s="26">
        <v>71899.82</v>
      </c>
      <c r="I24" s="27">
        <f>158994.2-79497.1</f>
        <v>79497.1</v>
      </c>
      <c r="J24" s="28">
        <f t="shared" si="5"/>
        <v>79497.1</v>
      </c>
      <c r="K24" s="26"/>
      <c r="L24" s="27"/>
      <c r="M24" s="28">
        <f aca="true" t="shared" si="9" ref="M24:M44">L24+0</f>
        <v>0</v>
      </c>
      <c r="N24" s="28"/>
      <c r="O24" s="27"/>
      <c r="P24" s="28">
        <f t="shared" si="7"/>
        <v>0</v>
      </c>
      <c r="Q24" s="29"/>
    </row>
    <row r="25" spans="1:17" ht="55.5" customHeight="1">
      <c r="A25" s="60" t="s">
        <v>9</v>
      </c>
      <c r="B25" s="21" t="s">
        <v>36</v>
      </c>
      <c r="C25" s="26">
        <f t="shared" si="3"/>
        <v>2338009.8</v>
      </c>
      <c r="D25" s="26">
        <f t="shared" si="3"/>
        <v>2338009.8</v>
      </c>
      <c r="E25" s="26">
        <f t="shared" si="3"/>
        <v>0</v>
      </c>
      <c r="F25" s="27">
        <v>0</v>
      </c>
      <c r="G25" s="28">
        <f t="shared" si="4"/>
        <v>0</v>
      </c>
      <c r="H25" s="26">
        <v>0</v>
      </c>
      <c r="I25" s="27">
        <v>1734482.6</v>
      </c>
      <c r="J25" s="28">
        <f t="shared" si="5"/>
        <v>1734482.6</v>
      </c>
      <c r="K25" s="26"/>
      <c r="L25" s="27">
        <v>0</v>
      </c>
      <c r="M25" s="28">
        <f t="shared" si="9"/>
        <v>0</v>
      </c>
      <c r="N25" s="28"/>
      <c r="O25" s="27">
        <f>2338009.8-1734482.6</f>
        <v>603527.1999999997</v>
      </c>
      <c r="P25" s="28">
        <f t="shared" si="7"/>
        <v>603527.1999999997</v>
      </c>
      <c r="Q25" s="29"/>
    </row>
    <row r="26" spans="1:17" ht="63" customHeight="1">
      <c r="A26" s="60" t="s">
        <v>10</v>
      </c>
      <c r="B26" s="21" t="s">
        <v>66</v>
      </c>
      <c r="C26" s="26">
        <f t="shared" si="3"/>
        <v>1580944.6</v>
      </c>
      <c r="D26" s="26">
        <f t="shared" si="3"/>
        <v>1580944.6</v>
      </c>
      <c r="E26" s="26">
        <f t="shared" si="3"/>
        <v>0</v>
      </c>
      <c r="F26" s="27">
        <v>230000</v>
      </c>
      <c r="G26" s="28">
        <f t="shared" si="4"/>
        <v>230000</v>
      </c>
      <c r="H26" s="26">
        <v>0</v>
      </c>
      <c r="I26" s="27">
        <f>593610-230000</f>
        <v>363610</v>
      </c>
      <c r="J26" s="28">
        <f t="shared" si="5"/>
        <v>363610</v>
      </c>
      <c r="K26" s="26"/>
      <c r="L26" s="27">
        <f>957220-593610</f>
        <v>363610</v>
      </c>
      <c r="M26" s="28">
        <f t="shared" si="9"/>
        <v>363610</v>
      </c>
      <c r="N26" s="28"/>
      <c r="O26" s="27">
        <f>1580944.6-957220</f>
        <v>623724.6000000001</v>
      </c>
      <c r="P26" s="28">
        <f t="shared" si="7"/>
        <v>623724.6000000001</v>
      </c>
      <c r="Q26" s="29"/>
    </row>
    <row r="27" spans="1:17" ht="55.5" customHeight="1">
      <c r="A27" s="60" t="s">
        <v>11</v>
      </c>
      <c r="B27" s="30" t="s">
        <v>37</v>
      </c>
      <c r="C27" s="26">
        <f t="shared" si="3"/>
        <v>2126779.4</v>
      </c>
      <c r="D27" s="26">
        <f t="shared" si="3"/>
        <v>2126779.4</v>
      </c>
      <c r="E27" s="26">
        <f t="shared" si="3"/>
        <v>0</v>
      </c>
      <c r="F27" s="27">
        <v>531694.8</v>
      </c>
      <c r="G27" s="28">
        <f t="shared" si="4"/>
        <v>531694.8</v>
      </c>
      <c r="H27" s="26"/>
      <c r="I27" s="27">
        <f>1063389.7-531694.8</f>
        <v>531694.8999999999</v>
      </c>
      <c r="J27" s="28">
        <f t="shared" si="5"/>
        <v>531694.8999999999</v>
      </c>
      <c r="K27" s="28"/>
      <c r="L27" s="27">
        <f>1595084.5-1063389.7</f>
        <v>531694.8</v>
      </c>
      <c r="M27" s="28">
        <f t="shared" si="9"/>
        <v>531694.8</v>
      </c>
      <c r="N27" s="28"/>
      <c r="O27" s="27">
        <f>2126779.4-1595084.5</f>
        <v>531694.8999999999</v>
      </c>
      <c r="P27" s="28">
        <f t="shared" si="7"/>
        <v>531694.8999999999</v>
      </c>
      <c r="Q27" s="29"/>
    </row>
    <row r="28" spans="1:17" ht="55.5" customHeight="1">
      <c r="A28" s="60" t="s">
        <v>12</v>
      </c>
      <c r="B28" s="30" t="s">
        <v>67</v>
      </c>
      <c r="C28" s="26">
        <f t="shared" si="3"/>
        <v>574332</v>
      </c>
      <c r="D28" s="26">
        <f t="shared" si="3"/>
        <v>574332</v>
      </c>
      <c r="E28" s="26">
        <f t="shared" si="3"/>
        <v>246228.52</v>
      </c>
      <c r="F28" s="27">
        <v>233936.4</v>
      </c>
      <c r="G28" s="28">
        <f t="shared" si="4"/>
        <v>233936.4</v>
      </c>
      <c r="H28" s="26">
        <v>246228.52</v>
      </c>
      <c r="I28" s="27">
        <f>499827.9-233936.4</f>
        <v>265891.5</v>
      </c>
      <c r="J28" s="28">
        <f t="shared" si="5"/>
        <v>265891.5</v>
      </c>
      <c r="K28" s="26"/>
      <c r="L28" s="27">
        <f>557105.9-499827.9</f>
        <v>57278</v>
      </c>
      <c r="M28" s="28">
        <f t="shared" si="9"/>
        <v>57278</v>
      </c>
      <c r="N28" s="28"/>
      <c r="O28" s="27">
        <f>574332-557105.9</f>
        <v>17226.099999999977</v>
      </c>
      <c r="P28" s="28">
        <f t="shared" si="7"/>
        <v>17226.099999999977</v>
      </c>
      <c r="Q28" s="29"/>
    </row>
    <row r="29" spans="1:17" ht="64.5" customHeight="1">
      <c r="A29" s="60" t="s">
        <v>13</v>
      </c>
      <c r="B29" s="30" t="s">
        <v>68</v>
      </c>
      <c r="C29" s="26">
        <f t="shared" si="3"/>
        <v>763861.6</v>
      </c>
      <c r="D29" s="26">
        <f t="shared" si="3"/>
        <v>763861.6</v>
      </c>
      <c r="E29" s="26">
        <f t="shared" si="3"/>
        <v>232555.79</v>
      </c>
      <c r="F29" s="27">
        <v>418474.9</v>
      </c>
      <c r="G29" s="28">
        <f t="shared" si="4"/>
        <v>418474.9</v>
      </c>
      <c r="H29" s="26">
        <v>232555.79</v>
      </c>
      <c r="I29" s="27">
        <f>655178.8-418474.9</f>
        <v>236703.90000000002</v>
      </c>
      <c r="J29" s="28">
        <f t="shared" si="5"/>
        <v>236703.90000000002</v>
      </c>
      <c r="K29" s="26"/>
      <c r="L29" s="27">
        <f>752152.8-655178.8</f>
        <v>96974</v>
      </c>
      <c r="M29" s="28">
        <f t="shared" si="9"/>
        <v>96974</v>
      </c>
      <c r="N29" s="28"/>
      <c r="O29" s="27">
        <f>763861.6-752152.8</f>
        <v>11708.79999999993</v>
      </c>
      <c r="P29" s="28">
        <f t="shared" si="7"/>
        <v>11708.79999999993</v>
      </c>
      <c r="Q29" s="29"/>
    </row>
    <row r="30" spans="1:17" ht="59.25" customHeight="1">
      <c r="A30" s="60" t="s">
        <v>29</v>
      </c>
      <c r="B30" s="30" t="s">
        <v>69</v>
      </c>
      <c r="C30" s="26">
        <f t="shared" si="3"/>
        <v>1561369.4</v>
      </c>
      <c r="D30" s="26">
        <f t="shared" si="3"/>
        <v>1561369.4</v>
      </c>
      <c r="E30" s="26">
        <f t="shared" si="3"/>
        <v>0</v>
      </c>
      <c r="F30" s="27">
        <v>390342.2</v>
      </c>
      <c r="G30" s="28">
        <f t="shared" si="4"/>
        <v>390342.2</v>
      </c>
      <c r="H30" s="26"/>
      <c r="I30" s="27">
        <f>780684.6-390342.2</f>
        <v>390342.39999999997</v>
      </c>
      <c r="J30" s="28">
        <f t="shared" si="5"/>
        <v>390342.39999999997</v>
      </c>
      <c r="K30" s="26"/>
      <c r="L30" s="27">
        <f>1171027-780684.6</f>
        <v>390342.4</v>
      </c>
      <c r="M30" s="28">
        <f t="shared" si="9"/>
        <v>390342.4</v>
      </c>
      <c r="N30" s="28"/>
      <c r="O30" s="27">
        <f>1561369.4-1171027</f>
        <v>390342.3999999999</v>
      </c>
      <c r="P30" s="28">
        <f t="shared" si="7"/>
        <v>390342.3999999999</v>
      </c>
      <c r="Q30" s="29"/>
    </row>
    <row r="31" spans="1:17" ht="75.75" customHeight="1">
      <c r="A31" s="60" t="s">
        <v>30</v>
      </c>
      <c r="B31" s="30" t="s">
        <v>38</v>
      </c>
      <c r="C31" s="26">
        <f t="shared" si="3"/>
        <v>212885.7</v>
      </c>
      <c r="D31" s="26">
        <f t="shared" si="3"/>
        <v>212885.7</v>
      </c>
      <c r="E31" s="26">
        <f t="shared" si="3"/>
        <v>0</v>
      </c>
      <c r="F31" s="27">
        <v>30000</v>
      </c>
      <c r="G31" s="28">
        <f t="shared" si="4"/>
        <v>30000</v>
      </c>
      <c r="H31" s="26">
        <v>0</v>
      </c>
      <c r="I31" s="27">
        <f>90000-30000</f>
        <v>60000</v>
      </c>
      <c r="J31" s="28">
        <f t="shared" si="5"/>
        <v>60000</v>
      </c>
      <c r="K31" s="26"/>
      <c r="L31" s="27">
        <f>140000-90000</f>
        <v>50000</v>
      </c>
      <c r="M31" s="28">
        <f t="shared" si="9"/>
        <v>50000</v>
      </c>
      <c r="N31" s="28"/>
      <c r="O31" s="27">
        <f>212885.7-140000</f>
        <v>72885.70000000001</v>
      </c>
      <c r="P31" s="28">
        <f t="shared" si="7"/>
        <v>72885.70000000001</v>
      </c>
      <c r="Q31" s="29"/>
    </row>
    <row r="32" spans="1:17" ht="77.25" customHeight="1">
      <c r="A32" s="60" t="s">
        <v>39</v>
      </c>
      <c r="B32" s="30" t="s">
        <v>86</v>
      </c>
      <c r="C32" s="26">
        <f t="shared" si="3"/>
        <v>682976.5</v>
      </c>
      <c r="D32" s="26">
        <f>G32+J32+M32+O32</f>
        <v>682976.5</v>
      </c>
      <c r="E32" s="26">
        <f t="shared" si="3"/>
        <v>0</v>
      </c>
      <c r="F32" s="27">
        <v>0</v>
      </c>
      <c r="G32" s="28">
        <f t="shared" si="4"/>
        <v>0</v>
      </c>
      <c r="H32" s="26">
        <v>0</v>
      </c>
      <c r="I32" s="27">
        <v>682976.5</v>
      </c>
      <c r="J32" s="28">
        <f t="shared" si="5"/>
        <v>682976.5</v>
      </c>
      <c r="K32" s="26"/>
      <c r="L32" s="27"/>
      <c r="M32" s="28">
        <f t="shared" si="9"/>
        <v>0</v>
      </c>
      <c r="N32" s="28"/>
      <c r="O32" s="28"/>
      <c r="P32" s="28">
        <f t="shared" si="7"/>
        <v>0</v>
      </c>
      <c r="Q32" s="29"/>
    </row>
    <row r="33" spans="1:18" ht="70.5" customHeight="1">
      <c r="A33" s="60" t="s">
        <v>40</v>
      </c>
      <c r="B33" s="30" t="s">
        <v>50</v>
      </c>
      <c r="C33" s="26">
        <f>F33+I33+L33+O33</f>
        <v>452382.2</v>
      </c>
      <c r="D33" s="26">
        <f>G33+J33+M33+P33</f>
        <v>452382.2</v>
      </c>
      <c r="E33" s="26">
        <f>H33+K33+N33+Q33</f>
        <v>0</v>
      </c>
      <c r="F33" s="27">
        <v>0</v>
      </c>
      <c r="G33" s="28">
        <f t="shared" si="4"/>
        <v>0</v>
      </c>
      <c r="H33" s="28">
        <v>0</v>
      </c>
      <c r="I33" s="27">
        <v>0</v>
      </c>
      <c r="J33" s="28">
        <f t="shared" si="5"/>
        <v>0</v>
      </c>
      <c r="K33" s="26"/>
      <c r="L33" s="27">
        <v>0</v>
      </c>
      <c r="M33" s="28">
        <f t="shared" si="9"/>
        <v>0</v>
      </c>
      <c r="N33" s="28"/>
      <c r="O33" s="27">
        <v>452382.2</v>
      </c>
      <c r="P33" s="28">
        <f t="shared" si="7"/>
        <v>452382.2</v>
      </c>
      <c r="Q33" s="29"/>
      <c r="R33" s="31"/>
    </row>
    <row r="34" spans="1:17" ht="66.75" customHeight="1">
      <c r="A34" s="60" t="s">
        <v>41</v>
      </c>
      <c r="B34" s="30" t="s">
        <v>70</v>
      </c>
      <c r="C34" s="26">
        <f t="shared" si="3"/>
        <v>266250.7</v>
      </c>
      <c r="D34" s="26">
        <f>G34+J34+M34+O34</f>
        <v>266250.7</v>
      </c>
      <c r="E34" s="26">
        <f t="shared" si="3"/>
        <v>0</v>
      </c>
      <c r="F34" s="28">
        <v>66562.7</v>
      </c>
      <c r="G34" s="28">
        <f t="shared" si="4"/>
        <v>66562.7</v>
      </c>
      <c r="H34" s="26"/>
      <c r="I34" s="27">
        <f>133125.4-66562.7</f>
        <v>66562.7</v>
      </c>
      <c r="J34" s="28">
        <f t="shared" si="5"/>
        <v>66562.7</v>
      </c>
      <c r="K34" s="26"/>
      <c r="L34" s="27">
        <f>199688.1-133125.4</f>
        <v>66562.70000000001</v>
      </c>
      <c r="M34" s="28">
        <f t="shared" si="9"/>
        <v>66562.70000000001</v>
      </c>
      <c r="N34" s="28"/>
      <c r="O34" s="28">
        <f>266250.7-199688.1</f>
        <v>66562.6</v>
      </c>
      <c r="P34" s="28">
        <f t="shared" si="7"/>
        <v>66562.6</v>
      </c>
      <c r="Q34" s="29"/>
    </row>
    <row r="35" spans="1:17" ht="70.5" customHeight="1">
      <c r="A35" s="60" t="s">
        <v>42</v>
      </c>
      <c r="B35" s="30" t="s">
        <v>71</v>
      </c>
      <c r="C35" s="26">
        <f t="shared" si="3"/>
        <v>1441381.8</v>
      </c>
      <c r="D35" s="26">
        <f t="shared" si="3"/>
        <v>1441381.8</v>
      </c>
      <c r="E35" s="26">
        <f t="shared" si="3"/>
        <v>0</v>
      </c>
      <c r="F35" s="27">
        <v>340387.4</v>
      </c>
      <c r="G35" s="28">
        <f t="shared" si="4"/>
        <v>340387.4</v>
      </c>
      <c r="H35" s="26"/>
      <c r="I35" s="27">
        <f>648621.8-340387.4</f>
        <v>308234.4</v>
      </c>
      <c r="J35" s="28">
        <f t="shared" si="5"/>
        <v>308234.4</v>
      </c>
      <c r="K35" s="26"/>
      <c r="L35" s="27">
        <f>936898.1-648621.8</f>
        <v>288276.29999999993</v>
      </c>
      <c r="M35" s="28">
        <f t="shared" si="9"/>
        <v>288276.29999999993</v>
      </c>
      <c r="N35" s="28"/>
      <c r="O35" s="27">
        <f>1441381.8-936898.1</f>
        <v>504483.70000000007</v>
      </c>
      <c r="P35" s="28">
        <f t="shared" si="7"/>
        <v>504483.70000000007</v>
      </c>
      <c r="Q35" s="29"/>
    </row>
    <row r="36" spans="1:17" ht="54.75" customHeight="1">
      <c r="A36" s="60" t="s">
        <v>43</v>
      </c>
      <c r="B36" s="30" t="s">
        <v>72</v>
      </c>
      <c r="C36" s="26">
        <f t="shared" si="3"/>
        <v>1436882.9</v>
      </c>
      <c r="D36" s="26">
        <f t="shared" si="3"/>
        <v>1436882.9</v>
      </c>
      <c r="E36" s="26">
        <f t="shared" si="3"/>
        <v>0</v>
      </c>
      <c r="F36" s="27">
        <v>143688.3</v>
      </c>
      <c r="G36" s="28">
        <f t="shared" si="4"/>
        <v>143688.3</v>
      </c>
      <c r="H36" s="26">
        <v>0</v>
      </c>
      <c r="I36" s="27">
        <f>574753.1-143688.3</f>
        <v>431064.8</v>
      </c>
      <c r="J36" s="28">
        <f t="shared" si="5"/>
        <v>431064.8</v>
      </c>
      <c r="K36" s="26"/>
      <c r="L36" s="27">
        <f>1149506.3-574753.1</f>
        <v>574753.2000000001</v>
      </c>
      <c r="M36" s="28">
        <f t="shared" si="9"/>
        <v>574753.2000000001</v>
      </c>
      <c r="N36" s="28"/>
      <c r="O36" s="27">
        <f>1436882.9-1149506.3</f>
        <v>287376.59999999986</v>
      </c>
      <c r="P36" s="28">
        <f t="shared" si="7"/>
        <v>287376.59999999986</v>
      </c>
      <c r="Q36" s="29"/>
    </row>
    <row r="37" spans="1:17" ht="60" customHeight="1">
      <c r="A37" s="60" t="s">
        <v>44</v>
      </c>
      <c r="B37" s="30" t="s">
        <v>73</v>
      </c>
      <c r="C37" s="26">
        <f t="shared" si="3"/>
        <v>79305.7</v>
      </c>
      <c r="D37" s="26">
        <f t="shared" si="3"/>
        <v>79305.7</v>
      </c>
      <c r="E37" s="26">
        <f t="shared" si="3"/>
        <v>0</v>
      </c>
      <c r="F37" s="27">
        <v>19826.5</v>
      </c>
      <c r="G37" s="28">
        <f t="shared" si="4"/>
        <v>19826.5</v>
      </c>
      <c r="H37" s="26">
        <v>0</v>
      </c>
      <c r="I37" s="27">
        <f>39653-19826.5</f>
        <v>19826.5</v>
      </c>
      <c r="J37" s="28">
        <f t="shared" si="5"/>
        <v>19826.5</v>
      </c>
      <c r="K37" s="26"/>
      <c r="L37" s="27">
        <f>59479.3-39653</f>
        <v>19826.300000000003</v>
      </c>
      <c r="M37" s="28">
        <f t="shared" si="9"/>
        <v>19826.300000000003</v>
      </c>
      <c r="N37" s="28"/>
      <c r="O37" s="27">
        <f>79305.7-59479.3</f>
        <v>19826.399999999994</v>
      </c>
      <c r="P37" s="28">
        <f t="shared" si="7"/>
        <v>19826.399999999994</v>
      </c>
      <c r="Q37" s="61"/>
    </row>
    <row r="38" spans="1:17" ht="67.5" customHeight="1">
      <c r="A38" s="60" t="s">
        <v>45</v>
      </c>
      <c r="B38" s="30" t="s">
        <v>74</v>
      </c>
      <c r="C38" s="26">
        <f t="shared" si="3"/>
        <v>2842799.8</v>
      </c>
      <c r="D38" s="26">
        <f t="shared" si="3"/>
        <v>2842799.8</v>
      </c>
      <c r="E38" s="26">
        <f t="shared" si="3"/>
        <v>0</v>
      </c>
      <c r="F38" s="27">
        <v>305604.2</v>
      </c>
      <c r="G38" s="28">
        <f t="shared" si="4"/>
        <v>305604.2</v>
      </c>
      <c r="H38" s="26">
        <v>0</v>
      </c>
      <c r="I38" s="27">
        <f>1151336-305604.2</f>
        <v>845731.8</v>
      </c>
      <c r="J38" s="28">
        <f t="shared" si="5"/>
        <v>845731.8</v>
      </c>
      <c r="K38" s="26"/>
      <c r="L38" s="27">
        <f>2267131.6-1151336</f>
        <v>1115795.6</v>
      </c>
      <c r="M38" s="28">
        <f t="shared" si="9"/>
        <v>1115795.6</v>
      </c>
      <c r="N38" s="28"/>
      <c r="O38" s="27">
        <f>2842799.8-2267131.6</f>
        <v>575668.1999999997</v>
      </c>
      <c r="P38" s="28">
        <f t="shared" si="7"/>
        <v>575668.1999999997</v>
      </c>
      <c r="Q38" s="29"/>
    </row>
    <row r="39" spans="1:17" ht="67.5" customHeight="1">
      <c r="A39" s="60" t="s">
        <v>46</v>
      </c>
      <c r="B39" s="30" t="s">
        <v>75</v>
      </c>
      <c r="C39" s="26">
        <f t="shared" si="3"/>
        <v>1050549</v>
      </c>
      <c r="D39" s="26">
        <f t="shared" si="3"/>
        <v>1050549</v>
      </c>
      <c r="E39" s="26">
        <f t="shared" si="3"/>
        <v>0</v>
      </c>
      <c r="F39" s="27">
        <v>105054.9</v>
      </c>
      <c r="G39" s="28">
        <f t="shared" si="4"/>
        <v>105054.9</v>
      </c>
      <c r="H39" s="26">
        <v>0</v>
      </c>
      <c r="I39" s="27">
        <f>420219.6-105054.9</f>
        <v>315164.69999999995</v>
      </c>
      <c r="J39" s="28">
        <f t="shared" si="5"/>
        <v>315164.69999999995</v>
      </c>
      <c r="K39" s="26"/>
      <c r="L39" s="27">
        <f>735384.3-420219.6</f>
        <v>315164.70000000007</v>
      </c>
      <c r="M39" s="28">
        <f t="shared" si="9"/>
        <v>315164.70000000007</v>
      </c>
      <c r="N39" s="28"/>
      <c r="O39" s="27">
        <f>1050549-735384.3</f>
        <v>315164.69999999995</v>
      </c>
      <c r="P39" s="28">
        <f t="shared" si="7"/>
        <v>315164.69999999995</v>
      </c>
      <c r="Q39" s="62"/>
    </row>
    <row r="40" spans="1:17" ht="60.75">
      <c r="A40" s="60" t="s">
        <v>47</v>
      </c>
      <c r="B40" s="30" t="s">
        <v>51</v>
      </c>
      <c r="C40" s="26">
        <f t="shared" si="3"/>
        <v>270462.5</v>
      </c>
      <c r="D40" s="26">
        <f t="shared" si="3"/>
        <v>270462.5</v>
      </c>
      <c r="E40" s="26">
        <f t="shared" si="3"/>
        <v>0</v>
      </c>
      <c r="F40" s="27">
        <v>27046.3</v>
      </c>
      <c r="G40" s="28">
        <f t="shared" si="4"/>
        <v>27046.3</v>
      </c>
      <c r="H40" s="26">
        <v>0</v>
      </c>
      <c r="I40" s="27">
        <f>108185.1-27046.3</f>
        <v>81138.8</v>
      </c>
      <c r="J40" s="28">
        <f t="shared" si="5"/>
        <v>81138.8</v>
      </c>
      <c r="K40" s="26"/>
      <c r="L40" s="27">
        <f>189323.9-108185.1</f>
        <v>81138.79999999999</v>
      </c>
      <c r="M40" s="28">
        <f t="shared" si="9"/>
        <v>81138.79999999999</v>
      </c>
      <c r="N40" s="28"/>
      <c r="O40" s="27">
        <f>270462.5-189323.9</f>
        <v>81138.6</v>
      </c>
      <c r="P40" s="28">
        <f t="shared" si="7"/>
        <v>81138.6</v>
      </c>
      <c r="Q40" s="62"/>
    </row>
    <row r="41" spans="1:18" ht="56.25" customHeight="1">
      <c r="A41" s="60" t="s">
        <v>48</v>
      </c>
      <c r="B41" s="30" t="s">
        <v>76</v>
      </c>
      <c r="C41" s="26">
        <f t="shared" si="3"/>
        <v>162488.1</v>
      </c>
      <c r="D41" s="26">
        <f t="shared" si="3"/>
        <v>162488.1</v>
      </c>
      <c r="E41" s="26">
        <f t="shared" si="3"/>
        <v>48227.7</v>
      </c>
      <c r="F41" s="27">
        <v>10743.8</v>
      </c>
      <c r="G41" s="28">
        <f t="shared" si="4"/>
        <v>10743.8</v>
      </c>
      <c r="H41" s="26">
        <v>48227.7</v>
      </c>
      <c r="I41" s="27">
        <f>77172.2-10743.8</f>
        <v>66428.4</v>
      </c>
      <c r="J41" s="28">
        <f t="shared" si="5"/>
        <v>66428.4</v>
      </c>
      <c r="K41" s="26"/>
      <c r="L41" s="27">
        <f>138725.5-77172.2</f>
        <v>61553.3</v>
      </c>
      <c r="M41" s="28">
        <f t="shared" si="9"/>
        <v>61553.3</v>
      </c>
      <c r="N41" s="28"/>
      <c r="O41" s="27">
        <f>162488.1-138725.5</f>
        <v>23762.600000000006</v>
      </c>
      <c r="P41" s="28">
        <f t="shared" si="7"/>
        <v>23762.600000000006</v>
      </c>
      <c r="Q41" s="62"/>
      <c r="R41" s="47"/>
    </row>
    <row r="42" spans="1:17" ht="66.75" customHeight="1">
      <c r="A42" s="60" t="s">
        <v>49</v>
      </c>
      <c r="B42" s="30" t="s">
        <v>77</v>
      </c>
      <c r="C42" s="26">
        <f aca="true" t="shared" si="10" ref="C42:E46">F42+I42+L42+O42</f>
        <v>1639861.4</v>
      </c>
      <c r="D42" s="26">
        <f t="shared" si="10"/>
        <v>1639861.4</v>
      </c>
      <c r="E42" s="26">
        <f t="shared" si="10"/>
        <v>119455</v>
      </c>
      <c r="F42" s="27">
        <v>620618.7</v>
      </c>
      <c r="G42" s="28">
        <f t="shared" si="4"/>
        <v>620618.7</v>
      </c>
      <c r="H42" s="26">
        <v>119455</v>
      </c>
      <c r="I42" s="27">
        <f>1261511-620618.7</f>
        <v>640892.3</v>
      </c>
      <c r="J42" s="28">
        <f t="shared" si="5"/>
        <v>640892.3</v>
      </c>
      <c r="K42" s="26"/>
      <c r="L42" s="27">
        <f>1639861.4-1261511</f>
        <v>378350.3999999999</v>
      </c>
      <c r="M42" s="28">
        <f t="shared" si="9"/>
        <v>378350.3999999999</v>
      </c>
      <c r="N42" s="28"/>
      <c r="O42" s="27">
        <f>1639861.4-1639861.4</f>
        <v>0</v>
      </c>
      <c r="P42" s="28">
        <f t="shared" si="7"/>
        <v>0</v>
      </c>
      <c r="Q42" s="29"/>
    </row>
    <row r="43" spans="1:17" ht="51.75" customHeight="1">
      <c r="A43" s="60" t="s">
        <v>52</v>
      </c>
      <c r="B43" s="30" t="s">
        <v>78</v>
      </c>
      <c r="C43" s="26">
        <f t="shared" si="10"/>
        <v>800044.5</v>
      </c>
      <c r="D43" s="26">
        <f t="shared" si="10"/>
        <v>800044.5</v>
      </c>
      <c r="E43" s="26">
        <f t="shared" si="10"/>
        <v>131028</v>
      </c>
      <c r="F43" s="27">
        <v>608915.6</v>
      </c>
      <c r="G43" s="28">
        <f t="shared" si="4"/>
        <v>608915.6</v>
      </c>
      <c r="H43" s="28">
        <v>131028</v>
      </c>
      <c r="I43" s="27">
        <f>748388.8-608915.6</f>
        <v>139473.20000000007</v>
      </c>
      <c r="J43" s="28">
        <f t="shared" si="5"/>
        <v>139473.20000000007</v>
      </c>
      <c r="K43" s="26"/>
      <c r="L43" s="27">
        <f>800044.5-748388.8</f>
        <v>51655.69999999995</v>
      </c>
      <c r="M43" s="28">
        <f t="shared" si="9"/>
        <v>51655.69999999995</v>
      </c>
      <c r="N43" s="28"/>
      <c r="O43" s="27">
        <v>0</v>
      </c>
      <c r="P43" s="28">
        <f t="shared" si="7"/>
        <v>0</v>
      </c>
      <c r="Q43" s="29"/>
    </row>
    <row r="44" spans="1:17" ht="48.75" customHeight="1">
      <c r="A44" s="60" t="s">
        <v>53</v>
      </c>
      <c r="B44" s="30" t="s">
        <v>80</v>
      </c>
      <c r="C44" s="26">
        <v>0</v>
      </c>
      <c r="D44" s="26">
        <f t="shared" si="10"/>
        <v>1095446</v>
      </c>
      <c r="E44" s="26">
        <f t="shared" si="10"/>
        <v>0</v>
      </c>
      <c r="G44" s="27">
        <v>1095446</v>
      </c>
      <c r="H44" s="28"/>
      <c r="I44" s="27"/>
      <c r="J44" s="28">
        <f t="shared" si="5"/>
        <v>0</v>
      </c>
      <c r="K44" s="26"/>
      <c r="L44" s="27"/>
      <c r="M44" s="28">
        <f t="shared" si="9"/>
        <v>0</v>
      </c>
      <c r="N44" s="28"/>
      <c r="O44" s="27"/>
      <c r="P44" s="28">
        <f t="shared" si="7"/>
        <v>0</v>
      </c>
      <c r="Q44" s="29"/>
    </row>
    <row r="45" spans="1:18" ht="60" customHeight="1">
      <c r="A45" s="60" t="s">
        <v>54</v>
      </c>
      <c r="B45" s="30" t="s">
        <v>82</v>
      </c>
      <c r="C45" s="26">
        <f t="shared" si="10"/>
        <v>0</v>
      </c>
      <c r="D45" s="26">
        <f t="shared" si="10"/>
        <v>455377</v>
      </c>
      <c r="E45" s="26">
        <f t="shared" si="10"/>
        <v>0</v>
      </c>
      <c r="F45" s="27"/>
      <c r="G45" s="28">
        <v>101394.6</v>
      </c>
      <c r="H45" s="28"/>
      <c r="I45" s="27"/>
      <c r="J45" s="28">
        <f>260690.2-101394.6</f>
        <v>159295.6</v>
      </c>
      <c r="K45" s="26"/>
      <c r="L45" s="27"/>
      <c r="M45" s="28">
        <f>325585.8-260690.2</f>
        <v>64895.59999999998</v>
      </c>
      <c r="N45" s="28"/>
      <c r="O45" s="27"/>
      <c r="P45" s="28">
        <f>455377-325585.8</f>
        <v>129791.20000000001</v>
      </c>
      <c r="Q45" s="29"/>
      <c r="R45" s="31"/>
    </row>
    <row r="46" spans="1:18" ht="58.5" customHeight="1">
      <c r="A46" s="60" t="s">
        <v>55</v>
      </c>
      <c r="B46" s="30" t="s">
        <v>83</v>
      </c>
      <c r="C46" s="26">
        <f t="shared" si="10"/>
        <v>0</v>
      </c>
      <c r="D46" s="26">
        <f t="shared" si="10"/>
        <v>1534000</v>
      </c>
      <c r="E46" s="26">
        <f t="shared" si="10"/>
        <v>0</v>
      </c>
      <c r="F46" s="27"/>
      <c r="G46" s="28">
        <v>0</v>
      </c>
      <c r="H46" s="28"/>
      <c r="I46" s="27"/>
      <c r="J46" s="28">
        <v>383500</v>
      </c>
      <c r="K46" s="26"/>
      <c r="L46" s="27"/>
      <c r="M46" s="28">
        <f>920400-383500</f>
        <v>536900</v>
      </c>
      <c r="N46" s="28"/>
      <c r="O46" s="27"/>
      <c r="P46" s="28">
        <f>1534000-920400</f>
        <v>613600</v>
      </c>
      <c r="Q46" s="29"/>
      <c r="R46" s="31"/>
    </row>
    <row r="47" spans="1:17" ht="20.25">
      <c r="A47" s="70" t="s">
        <v>56</v>
      </c>
      <c r="B47" s="71"/>
      <c r="C47" s="13">
        <f>SUM(C51:C56)</f>
        <v>0</v>
      </c>
      <c r="D47" s="13">
        <f>SUM(D51:D56)</f>
        <v>0</v>
      </c>
      <c r="E47" s="13">
        <f>SUM(E51:E56)</f>
        <v>0</v>
      </c>
      <c r="F47" s="13"/>
      <c r="G47" s="28"/>
      <c r="H47" s="13"/>
      <c r="I47" s="13"/>
      <c r="J47" s="13"/>
      <c r="K47" s="13"/>
      <c r="L47" s="13"/>
      <c r="M47" s="13"/>
      <c r="N47" s="13"/>
      <c r="O47" s="13"/>
      <c r="P47" s="13"/>
      <c r="Q47" s="49">
        <f>SUM(Q51:Q56)</f>
        <v>0</v>
      </c>
    </row>
    <row r="48" spans="1:17" ht="33" customHeight="1">
      <c r="A48" s="63">
        <v>1</v>
      </c>
      <c r="B48" s="30" t="s">
        <v>85</v>
      </c>
      <c r="C48" s="38"/>
      <c r="D48" s="38"/>
      <c r="E48" s="38"/>
      <c r="F48" s="38">
        <v>0</v>
      </c>
      <c r="G48" s="51">
        <v>0</v>
      </c>
      <c r="H48" s="38">
        <v>0</v>
      </c>
      <c r="I48" s="38"/>
      <c r="J48" s="38"/>
      <c r="K48" s="38"/>
      <c r="L48" s="38"/>
      <c r="M48" s="38"/>
      <c r="N48" s="38"/>
      <c r="O48" s="38"/>
      <c r="P48" s="38"/>
      <c r="Q48" s="39"/>
    </row>
    <row r="49" spans="1:17" ht="20.25">
      <c r="A49" s="41"/>
      <c r="B49" s="42"/>
      <c r="C49" s="38"/>
      <c r="D49" s="38"/>
      <c r="E49" s="38"/>
      <c r="F49" s="38"/>
      <c r="G49" s="51"/>
      <c r="H49" s="38"/>
      <c r="I49" s="38"/>
      <c r="J49" s="38"/>
      <c r="K49" s="38"/>
      <c r="L49" s="38"/>
      <c r="M49" s="38"/>
      <c r="N49" s="38"/>
      <c r="O49" s="38"/>
      <c r="P49" s="38"/>
      <c r="Q49" s="39"/>
    </row>
    <row r="50" spans="1:17" ht="20.25">
      <c r="A50" s="41"/>
      <c r="B50" s="42"/>
      <c r="C50" s="38"/>
      <c r="D50" s="38"/>
      <c r="E50" s="38"/>
      <c r="F50" s="38"/>
      <c r="G50" s="51"/>
      <c r="H50" s="38"/>
      <c r="I50" s="38"/>
      <c r="J50" s="38"/>
      <c r="K50" s="38"/>
      <c r="L50" s="38"/>
      <c r="M50" s="38"/>
      <c r="N50" s="38"/>
      <c r="O50" s="38"/>
      <c r="P50" s="38"/>
      <c r="Q50" s="39"/>
    </row>
    <row r="51" spans="1:17" ht="21" thickBot="1">
      <c r="A51" s="33"/>
      <c r="B51" s="50"/>
      <c r="C51" s="34">
        <f>F51+I51+L51+O51</f>
        <v>0</v>
      </c>
      <c r="D51" s="34">
        <f>G51+J51+M51+P51</f>
        <v>0</v>
      </c>
      <c r="E51" s="34">
        <f>H51+K51+N51+Q51</f>
        <v>0</v>
      </c>
      <c r="F51" s="35"/>
      <c r="G51" s="36"/>
      <c r="H51" s="34"/>
      <c r="I51" s="35"/>
      <c r="J51" s="36"/>
      <c r="K51" s="34"/>
      <c r="L51" s="35"/>
      <c r="M51" s="36"/>
      <c r="N51" s="36"/>
      <c r="O51" s="35"/>
      <c r="P51" s="36"/>
      <c r="Q51" s="37"/>
    </row>
    <row r="52" spans="1:17" ht="20.25">
      <c r="A52" s="45"/>
      <c r="B52" s="43"/>
      <c r="C52" s="44"/>
      <c r="D52" s="44"/>
      <c r="E52" s="44"/>
      <c r="F52" s="46"/>
      <c r="G52" s="47"/>
      <c r="H52" s="44"/>
      <c r="I52" s="46"/>
      <c r="J52" s="47"/>
      <c r="K52" s="44"/>
      <c r="L52" s="46"/>
      <c r="M52" s="47"/>
      <c r="N52" s="47"/>
      <c r="O52" s="46"/>
      <c r="P52" s="47"/>
      <c r="Q52" s="47"/>
    </row>
    <row r="53" spans="1:17" ht="20.25">
      <c r="A53" s="45"/>
      <c r="B53" s="48"/>
      <c r="C53" s="44"/>
      <c r="D53" s="44"/>
      <c r="E53" s="44"/>
      <c r="F53" s="46"/>
      <c r="G53" s="47"/>
      <c r="H53" s="44"/>
      <c r="I53" s="46"/>
      <c r="J53" s="47"/>
      <c r="K53" s="44"/>
      <c r="L53" s="46"/>
      <c r="M53" s="47"/>
      <c r="N53" s="47"/>
      <c r="O53" s="46"/>
      <c r="P53" s="47"/>
      <c r="Q53" s="47"/>
    </row>
    <row r="54" spans="1:17" ht="20.25">
      <c r="A54" s="45"/>
      <c r="B54" s="48"/>
      <c r="C54" s="44"/>
      <c r="D54" s="44"/>
      <c r="E54" s="44"/>
      <c r="F54" s="46"/>
      <c r="G54" s="47"/>
      <c r="H54" s="44"/>
      <c r="I54" s="46"/>
      <c r="J54" s="47"/>
      <c r="K54" s="44"/>
      <c r="L54" s="46"/>
      <c r="M54" s="47"/>
      <c r="N54" s="47"/>
      <c r="O54" s="46"/>
      <c r="P54" s="47"/>
      <c r="Q54" s="47"/>
    </row>
    <row r="55" spans="1:18" ht="20.25">
      <c r="A55" s="45"/>
      <c r="B55" s="48"/>
      <c r="C55" s="44"/>
      <c r="D55" s="44"/>
      <c r="E55" s="44"/>
      <c r="F55" s="46"/>
      <c r="G55" s="47"/>
      <c r="H55" s="47"/>
      <c r="I55" s="46"/>
      <c r="J55" s="47"/>
      <c r="K55" s="44"/>
      <c r="L55" s="46"/>
      <c r="M55" s="47"/>
      <c r="N55" s="47"/>
      <c r="O55" s="46"/>
      <c r="P55" s="47"/>
      <c r="Q55" s="47"/>
      <c r="R55" s="31"/>
    </row>
    <row r="56" spans="1:18" ht="20.25">
      <c r="A56" s="45"/>
      <c r="B56" s="48"/>
      <c r="C56" s="44"/>
      <c r="D56" s="44"/>
      <c r="E56" s="44"/>
      <c r="F56" s="46"/>
      <c r="G56" s="47"/>
      <c r="H56" s="47"/>
      <c r="I56" s="46"/>
      <c r="J56" s="47"/>
      <c r="K56" s="44"/>
      <c r="L56" s="46"/>
      <c r="M56" s="47"/>
      <c r="N56" s="47"/>
      <c r="O56" s="46"/>
      <c r="P56" s="47"/>
      <c r="Q56" s="47"/>
      <c r="R56" s="31"/>
    </row>
    <row r="58" ht="18.75">
      <c r="B58" s="32" t="s">
        <v>81</v>
      </c>
    </row>
    <row r="59" ht="18.75">
      <c r="B59" s="32" t="s">
        <v>84</v>
      </c>
    </row>
    <row r="60" ht="18.75">
      <c r="B60" s="32"/>
    </row>
    <row r="61" ht="18.75">
      <c r="B61" s="32"/>
    </row>
    <row r="62" ht="18.75">
      <c r="B62" s="32"/>
    </row>
    <row r="63" ht="18.75">
      <c r="B63" s="32"/>
    </row>
    <row r="64" ht="18.75">
      <c r="B64" s="32"/>
    </row>
  </sheetData>
  <sheetProtection/>
  <mergeCells count="13">
    <mergeCell ref="A47:B47"/>
    <mergeCell ref="I8:K8"/>
    <mergeCell ref="L8:N8"/>
    <mergeCell ref="O8:Q8"/>
    <mergeCell ref="A10:B10"/>
    <mergeCell ref="A11:B11"/>
    <mergeCell ref="A13:B13"/>
    <mergeCell ref="B4:O4"/>
    <mergeCell ref="B1:O1"/>
    <mergeCell ref="B2:O2"/>
    <mergeCell ref="A8:B9"/>
    <mergeCell ref="C8:E8"/>
    <mergeCell ref="F8:H8"/>
  </mergeCells>
  <printOptions/>
  <pageMargins left="0.16" right="0.16" top="0.23" bottom="0.16" header="0.26" footer="0.16"/>
  <pageSetup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AP50"/>
  <sheetViews>
    <sheetView zoomScalePageLayoutView="0" workbookViewId="0" topLeftCell="A1">
      <selection activeCell="M5" sqref="M5"/>
    </sheetView>
  </sheetViews>
  <sheetFormatPr defaultColWidth="9.140625" defaultRowHeight="12.75"/>
  <cols>
    <col min="43" max="16384" width="9.140625" style="52" customWidth="1"/>
  </cols>
  <sheetData>
    <row r="13" spans="1:42" s="57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56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56" customFormat="1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56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57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57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55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56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56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56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5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56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58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53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57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57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30" spans="1:42" s="5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5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5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5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5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5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5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56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56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56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56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56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57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5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57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57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57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54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9" spans="1:42" s="56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54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Harutyunyan</dc:creator>
  <cp:keywords/>
  <dc:description/>
  <cp:lastModifiedBy>Maria Harutyunyan</cp:lastModifiedBy>
  <cp:lastPrinted>2018-04-27T11:41:34Z</cp:lastPrinted>
  <dcterms:created xsi:type="dcterms:W3CDTF">1996-10-14T23:33:28Z</dcterms:created>
  <dcterms:modified xsi:type="dcterms:W3CDTF">2018-05-05T12:36:10Z</dcterms:modified>
  <cp:category/>
  <cp:version/>
  <cp:contentType/>
  <cp:contentStatus/>
</cp:coreProperties>
</file>